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D:\Documents\Odprti portal\priprava_za_objavljanje\Edit\"/>
    </mc:Choice>
  </mc:AlternateContent>
  <xr:revisionPtr revIDLastSave="0" documentId="13_ncr:1_{BA49536A-9FA3-441D-84AC-68F68F129904}" xr6:coauthVersionLast="47" xr6:coauthVersionMax="47" xr10:uidLastSave="{00000000-0000-0000-0000-000000000000}"/>
  <bookViews>
    <workbookView xWindow="-120" yWindow="-120" windowWidth="29040" windowHeight="17640" tabRatio="268" xr2:uid="{60E9F91D-DC0F-4D4A-8031-0F31BF42ADAA}"/>
  </bookViews>
  <sheets>
    <sheet name="DM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5" i="1"/>
  <c r="K19" i="1"/>
  <c r="K20" i="1" s="1"/>
  <c r="E8" i="1"/>
  <c r="A68" i="1" s="1"/>
  <c r="E21" i="1"/>
  <c r="E2" i="1"/>
  <c r="E32" i="1" s="1"/>
  <c r="E13" i="1"/>
  <c r="A53" i="1" l="1"/>
  <c r="A69" i="1"/>
  <c r="A70" i="1" s="1"/>
  <c r="A62" i="1"/>
  <c r="A63" i="1" s="1"/>
  <c r="A64" i="1" s="1"/>
  <c r="A54" i="1"/>
  <c r="E33" i="1"/>
  <c r="E31" i="1"/>
  <c r="E38" i="1"/>
  <c r="E37" i="1"/>
  <c r="E36" i="1" s="1"/>
  <c r="E30" i="1"/>
  <c r="E29" i="1" s="1"/>
  <c r="E34" i="1"/>
  <c r="A55" i="1" l="1"/>
  <c r="A56" i="1" s="1"/>
  <c r="A57" i="1" s="1"/>
  <c r="A58" i="1" s="1"/>
  <c r="K16" i="1" s="1"/>
  <c r="K17" i="1" s="1"/>
  <c r="K22" i="1" s="1"/>
</calcChain>
</file>

<file path=xl/sharedStrings.xml><?xml version="1.0" encoding="utf-8"?>
<sst xmlns="http://schemas.openxmlformats.org/spreadsheetml/2006/main" count="97" uniqueCount="68">
  <si>
    <t>Moč motorja: Motorno kolo</t>
  </si>
  <si>
    <t>Vrsta vozila:</t>
  </si>
  <si>
    <t>Datum izračuna:</t>
  </si>
  <si>
    <t>Osebno vozilo</t>
  </si>
  <si>
    <t>Bivalno vozilo</t>
  </si>
  <si>
    <t>Vrsta goriva:</t>
  </si>
  <si>
    <t>Kolo z motorjem</t>
  </si>
  <si>
    <t>Izpust CO2:</t>
  </si>
  <si>
    <t>g/km</t>
  </si>
  <si>
    <t>Motorno kolo</t>
  </si>
  <si>
    <t>Izpust EURO:</t>
  </si>
  <si>
    <t>Vozilo z najmanj 8 sedeži:</t>
  </si>
  <si>
    <t>Moč motorja: Bivalno vozilo</t>
  </si>
  <si>
    <t>Elektrika</t>
  </si>
  <si>
    <t>Izpust trdih delcev večji od 0,005 g/km:</t>
  </si>
  <si>
    <t>Dizel</t>
  </si>
  <si>
    <t>Ostalo (bencin, hibrid...)</t>
  </si>
  <si>
    <t>Moč motorja:</t>
  </si>
  <si>
    <t>kW</t>
  </si>
  <si>
    <t>Prostornina motorja:</t>
  </si>
  <si>
    <t>cm3</t>
  </si>
  <si>
    <t>Delovanje motorja:</t>
  </si>
  <si>
    <t>EURO1</t>
  </si>
  <si>
    <t>Davčna osnova:</t>
  </si>
  <si>
    <t>€</t>
  </si>
  <si>
    <t>EURO2</t>
  </si>
  <si>
    <t>Izpust CO2</t>
  </si>
  <si>
    <t>Bencin</t>
  </si>
  <si>
    <t>EURO3</t>
  </si>
  <si>
    <t>Stopnja davka:</t>
  </si>
  <si>
    <t>%</t>
  </si>
  <si>
    <t>EURO4</t>
  </si>
  <si>
    <t>Znesek davka:</t>
  </si>
  <si>
    <t>EURO5</t>
  </si>
  <si>
    <t>EURO6</t>
  </si>
  <si>
    <t>Stopnja pribitka:</t>
  </si>
  <si>
    <t>Znesek pribitka:</t>
  </si>
  <si>
    <t>Dvotaktni</t>
  </si>
  <si>
    <t>Skupaj davek:</t>
  </si>
  <si>
    <t>Ostalo</t>
  </si>
  <si>
    <t>Vozilo z najmanj 8 sedeži</t>
  </si>
  <si>
    <t>Izpust trdih delcev večji od 0,005 g/km</t>
  </si>
  <si>
    <t>Pribitek EURO</t>
  </si>
  <si>
    <t>Osebna/bivalna</t>
  </si>
  <si>
    <t>Motorna</t>
  </si>
  <si>
    <t>PribitekOsebna</t>
  </si>
  <si>
    <t>prostornina od</t>
  </si>
  <si>
    <t>prostornina do</t>
  </si>
  <si>
    <t>PribitekMotorna</t>
  </si>
  <si>
    <t>Prehodno obdobje do</t>
  </si>
  <si>
    <t>Pribitek Datum</t>
  </si>
  <si>
    <t>Osebno vozilo:</t>
  </si>
  <si>
    <t>Izpust CO2 upoštevajoč vrsto goriva</t>
  </si>
  <si>
    <t>Lestvica za bencin?</t>
  </si>
  <si>
    <t>Stopnja davka</t>
  </si>
  <si>
    <t>Upoštevanje št. sedežev</t>
  </si>
  <si>
    <t>Po pribitku za izpust EURO</t>
  </si>
  <si>
    <t>Po pribitku za izpust trdih delcev</t>
  </si>
  <si>
    <t>Bivalno vozilo:</t>
  </si>
  <si>
    <t>Stopnja davka upoštevajoč moč vozila</t>
  </si>
  <si>
    <t>Kolo z motorjem:</t>
  </si>
  <si>
    <t>Pribitek za delovanje motorja</t>
  </si>
  <si>
    <t xml:space="preserve">PribitekOsebna </t>
  </si>
  <si>
    <t xml:space="preserve"> </t>
  </si>
  <si>
    <t>! IZRAČUN DMV do 31.12.2020 !</t>
  </si>
  <si>
    <t>DA</t>
  </si>
  <si>
    <t>NE</t>
  </si>
  <si>
    <t>(samo za diesel)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</si>
</sst>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hidden="1"/>
    </xf>
    <xf numFmtId="0" fontId="3" fillId="3" borderId="0" xfId="0" applyFont="1" applyFill="1" applyAlignment="1" applyProtection="1">
      <alignment horizontal="right"/>
      <protection hidden="1"/>
    </xf>
    <xf numFmtId="164" fontId="0" fillId="3" borderId="0" xfId="0" applyNumberFormat="1" applyFill="1" applyProtection="1">
      <protection hidden="1"/>
    </xf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3" borderId="0" xfId="0" applyFont="1" applyFill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3" fillId="3" borderId="0" xfId="0" applyFont="1" applyFill="1" applyAlignment="1" applyProtection="1">
      <alignment horizontal="right"/>
      <protection locked="0"/>
    </xf>
    <xf numFmtId="3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14" fontId="0" fillId="5" borderId="0" xfId="0" applyNumberFormat="1" applyFill="1" applyProtection="1">
      <protection locked="0"/>
    </xf>
    <xf numFmtId="0" fontId="4" fillId="3" borderId="0" xfId="0" applyFont="1" applyFill="1" applyProtection="1">
      <protection locked="0"/>
    </xf>
    <xf numFmtId="0" fontId="2" fillId="3" borderId="0" xfId="0" applyFont="1" applyFill="1" applyAlignment="1">
      <alignment horizontal="right" vertical="top" wrapText="1"/>
    </xf>
    <xf numFmtId="0" fontId="0" fillId="3" borderId="0" xfId="0" applyFill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BD15-2B55-4B29-B656-C55035C403CE}">
  <sheetPr codeName="Sheet1"/>
  <dimension ref="A1:L84"/>
  <sheetViews>
    <sheetView tabSelected="1" topLeftCell="I1" zoomScaleNormal="100" workbookViewId="0">
      <selection activeCell="K7" sqref="K7"/>
    </sheetView>
  </sheetViews>
  <sheetFormatPr defaultRowHeight="12.75" x14ac:dyDescent="0.2"/>
  <cols>
    <col min="1" max="1" width="23.85546875" style="4" hidden="1" customWidth="1"/>
    <col min="2" max="2" width="13.140625" style="4" hidden="1" customWidth="1"/>
    <col min="3" max="3" width="12.42578125" style="4" hidden="1" customWidth="1"/>
    <col min="4" max="4" width="9.140625" style="4" hidden="1" customWidth="1"/>
    <col min="5" max="5" width="10.140625" style="4" hidden="1" customWidth="1"/>
    <col min="6" max="6" width="27.140625" style="4" hidden="1" customWidth="1"/>
    <col min="7" max="7" width="12.5703125" style="4" hidden="1" customWidth="1"/>
    <col min="8" max="8" width="14.85546875" style="4" hidden="1" customWidth="1"/>
    <col min="9" max="9" width="2.7109375" style="8" customWidth="1"/>
    <col min="10" max="10" width="36.85546875" style="4" bestFit="1" customWidth="1"/>
    <col min="11" max="11" width="21.140625" style="4" customWidth="1"/>
    <col min="12" max="12" width="14.85546875" style="4" bestFit="1" customWidth="1"/>
    <col min="13" max="17" width="9.140625" style="4"/>
    <col min="18" max="18" width="17.140625" style="4" customWidth="1"/>
    <col min="19" max="16384" width="9.140625" style="4"/>
  </cols>
  <sheetData>
    <row r="1" spans="1:12" ht="15.75" x14ac:dyDescent="0.25">
      <c r="B1" s="18"/>
      <c r="J1" s="23" t="s">
        <v>64</v>
      </c>
    </row>
    <row r="2" spans="1:12" x14ac:dyDescent="0.2">
      <c r="A2" s="4" t="s">
        <v>0</v>
      </c>
      <c r="E2" s="4">
        <f>MATCH(K3,F3:F6,0)</f>
        <v>1</v>
      </c>
      <c r="F2" s="4" t="s">
        <v>1</v>
      </c>
      <c r="J2" s="11" t="s">
        <v>2</v>
      </c>
      <c r="K2" s="1">
        <v>42005</v>
      </c>
    </row>
    <row r="3" spans="1:12" x14ac:dyDescent="0.2">
      <c r="A3" s="4">
        <v>0</v>
      </c>
      <c r="B3" s="4">
        <v>1.5</v>
      </c>
      <c r="E3" s="4">
        <v>1</v>
      </c>
      <c r="F3" s="4" t="s">
        <v>3</v>
      </c>
      <c r="J3" s="11" t="s">
        <v>1</v>
      </c>
      <c r="K3" s="2" t="s">
        <v>3</v>
      </c>
    </row>
    <row r="4" spans="1:12" x14ac:dyDescent="0.2">
      <c r="A4" s="4">
        <v>25.01</v>
      </c>
      <c r="B4" s="4">
        <v>2</v>
      </c>
      <c r="E4" s="4">
        <v>2</v>
      </c>
      <c r="F4" s="4" t="s">
        <v>4</v>
      </c>
      <c r="J4" s="11" t="s">
        <v>5</v>
      </c>
      <c r="K4" s="2" t="s">
        <v>15</v>
      </c>
    </row>
    <row r="5" spans="1:12" x14ac:dyDescent="0.2">
      <c r="A5" s="4">
        <v>50.01</v>
      </c>
      <c r="B5" s="4">
        <v>3</v>
      </c>
      <c r="E5" s="4">
        <v>3</v>
      </c>
      <c r="F5" s="4" t="s">
        <v>6</v>
      </c>
      <c r="J5" s="11" t="s">
        <v>7</v>
      </c>
      <c r="K5" s="2">
        <v>200</v>
      </c>
      <c r="L5" s="4" t="s">
        <v>8</v>
      </c>
    </row>
    <row r="6" spans="1:12" x14ac:dyDescent="0.2">
      <c r="A6" s="4">
        <v>75.010000000000005</v>
      </c>
      <c r="B6" s="4">
        <v>5</v>
      </c>
      <c r="E6" s="4">
        <v>4</v>
      </c>
      <c r="F6" s="4" t="s">
        <v>9</v>
      </c>
      <c r="J6" s="11" t="s">
        <v>10</v>
      </c>
      <c r="K6" s="2" t="s">
        <v>31</v>
      </c>
    </row>
    <row r="7" spans="1:12" x14ac:dyDescent="0.2">
      <c r="J7" s="24" t="s">
        <v>11</v>
      </c>
      <c r="K7" s="2" t="s">
        <v>66</v>
      </c>
    </row>
    <row r="8" spans="1:12" x14ac:dyDescent="0.2">
      <c r="E8" s="4">
        <f>MATCH(K4,F9:F11,0)</f>
        <v>2</v>
      </c>
      <c r="F8" s="4" t="s">
        <v>5</v>
      </c>
      <c r="J8" s="24"/>
      <c r="K8" s="25"/>
    </row>
    <row r="9" spans="1:12" x14ac:dyDescent="0.2">
      <c r="A9" s="4" t="s">
        <v>12</v>
      </c>
      <c r="E9" s="4">
        <v>1</v>
      </c>
      <c r="F9" s="4" t="s">
        <v>13</v>
      </c>
      <c r="J9" s="24" t="s">
        <v>14</v>
      </c>
      <c r="K9" s="2" t="s">
        <v>66</v>
      </c>
      <c r="L9" s="16" t="s">
        <v>67</v>
      </c>
    </row>
    <row r="10" spans="1:12" x14ac:dyDescent="0.2">
      <c r="A10" s="4">
        <v>0</v>
      </c>
      <c r="B10" s="4">
        <v>6</v>
      </c>
      <c r="E10" s="4">
        <v>2</v>
      </c>
      <c r="F10" s="4" t="s">
        <v>15</v>
      </c>
      <c r="J10" s="24"/>
      <c r="K10" s="25"/>
    </row>
    <row r="11" spans="1:12" x14ac:dyDescent="0.2">
      <c r="A11" s="4">
        <v>60.01</v>
      </c>
      <c r="B11" s="4">
        <v>9</v>
      </c>
      <c r="E11" s="4">
        <v>3</v>
      </c>
      <c r="F11" s="4" t="s">
        <v>16</v>
      </c>
      <c r="J11" s="11" t="s">
        <v>17</v>
      </c>
      <c r="K11" s="2">
        <v>222</v>
      </c>
      <c r="L11" s="4" t="s">
        <v>18</v>
      </c>
    </row>
    <row r="12" spans="1:12" x14ac:dyDescent="0.2">
      <c r="A12" s="4">
        <v>90.01</v>
      </c>
      <c r="B12" s="4">
        <v>13</v>
      </c>
      <c r="J12" s="11" t="s">
        <v>19</v>
      </c>
      <c r="K12" s="17">
        <v>2222</v>
      </c>
      <c r="L12" s="4" t="s">
        <v>20</v>
      </c>
    </row>
    <row r="13" spans="1:12" x14ac:dyDescent="0.2">
      <c r="A13" s="4">
        <v>120.01</v>
      </c>
      <c r="B13" s="4">
        <v>18</v>
      </c>
      <c r="E13" s="4">
        <f>MATCH(K6,F14:F19,0)</f>
        <v>4</v>
      </c>
      <c r="F13" s="4" t="s">
        <v>10</v>
      </c>
      <c r="J13" s="11" t="s">
        <v>21</v>
      </c>
      <c r="K13" s="2" t="s">
        <v>37</v>
      </c>
    </row>
    <row r="14" spans="1:12" x14ac:dyDescent="0.2">
      <c r="E14" s="4">
        <v>1</v>
      </c>
      <c r="F14" s="4" t="s">
        <v>22</v>
      </c>
      <c r="J14" s="11" t="s">
        <v>23</v>
      </c>
      <c r="K14" s="3">
        <v>10000</v>
      </c>
      <c r="L14" s="4" t="s">
        <v>24</v>
      </c>
    </row>
    <row r="15" spans="1:12" x14ac:dyDescent="0.2">
      <c r="E15" s="4">
        <v>2</v>
      </c>
      <c r="F15" s="4" t="s">
        <v>25</v>
      </c>
      <c r="J15" s="11"/>
      <c r="K15" s="5"/>
    </row>
    <row r="16" spans="1:12" x14ac:dyDescent="0.2">
      <c r="A16" s="4" t="s">
        <v>26</v>
      </c>
      <c r="B16" s="4" t="s">
        <v>27</v>
      </c>
      <c r="C16" s="4" t="s">
        <v>15</v>
      </c>
      <c r="E16" s="4">
        <v>3</v>
      </c>
      <c r="F16" s="4" t="s">
        <v>28</v>
      </c>
      <c r="H16" s="16" t="s">
        <v>65</v>
      </c>
      <c r="J16" s="11" t="s">
        <v>29</v>
      </c>
      <c r="K16" s="12">
        <f>IF(K2="","Vnesite Dat.izračuna",IF(E2=1,A58,IF(E2=2,A64,A70)))</f>
        <v>20</v>
      </c>
      <c r="L16" s="6" t="s">
        <v>30</v>
      </c>
    </row>
    <row r="17" spans="1:12" x14ac:dyDescent="0.2">
      <c r="A17" s="4">
        <v>0</v>
      </c>
      <c r="B17" s="4">
        <v>0.5</v>
      </c>
      <c r="C17" s="4">
        <v>1</v>
      </c>
      <c r="E17" s="4">
        <v>4</v>
      </c>
      <c r="F17" s="4" t="s">
        <v>31</v>
      </c>
      <c r="H17" s="16" t="s">
        <v>66</v>
      </c>
      <c r="J17" s="11" t="s">
        <v>32</v>
      </c>
      <c r="K17" s="13">
        <f>K14*K16/100</f>
        <v>2000</v>
      </c>
      <c r="L17" s="6" t="s">
        <v>24</v>
      </c>
    </row>
    <row r="18" spans="1:12" x14ac:dyDescent="0.2">
      <c r="A18" s="4">
        <v>110.01</v>
      </c>
      <c r="B18" s="4">
        <v>1</v>
      </c>
      <c r="C18" s="4">
        <v>2</v>
      </c>
      <c r="E18" s="4">
        <v>5</v>
      </c>
      <c r="F18" s="4" t="s">
        <v>33</v>
      </c>
      <c r="J18" s="11"/>
      <c r="K18" s="14"/>
    </row>
    <row r="19" spans="1:12" x14ac:dyDescent="0.2">
      <c r="A19" s="4">
        <v>120.01</v>
      </c>
      <c r="B19" s="4">
        <v>1.5</v>
      </c>
      <c r="C19" s="4">
        <v>3</v>
      </c>
      <c r="E19" s="4">
        <v>6</v>
      </c>
      <c r="F19" s="4" t="s">
        <v>34</v>
      </c>
      <c r="J19" s="11" t="s">
        <v>35</v>
      </c>
      <c r="K19" s="15">
        <f>IF(K2="","Vnesite Dat.izračuna",SUM(E29,E36))</f>
        <v>0</v>
      </c>
      <c r="L19" s="6" t="s">
        <v>30</v>
      </c>
    </row>
    <row r="20" spans="1:12" x14ac:dyDescent="0.2">
      <c r="A20" s="4">
        <v>130.01</v>
      </c>
      <c r="B20" s="4">
        <v>3</v>
      </c>
      <c r="C20" s="4">
        <v>6</v>
      </c>
      <c r="J20" s="11" t="s">
        <v>36</v>
      </c>
      <c r="K20" s="13">
        <f>K14*(K19%)</f>
        <v>0</v>
      </c>
      <c r="L20" s="6" t="s">
        <v>24</v>
      </c>
    </row>
    <row r="21" spans="1:12" x14ac:dyDescent="0.2">
      <c r="A21" s="4">
        <v>150.01</v>
      </c>
      <c r="B21" s="4">
        <v>6</v>
      </c>
      <c r="C21" s="4">
        <v>11</v>
      </c>
      <c r="E21" s="4">
        <f>MATCH(K13,F22:F23,0)</f>
        <v>1</v>
      </c>
      <c r="F21" s="4" t="s">
        <v>21</v>
      </c>
      <c r="J21" s="11"/>
      <c r="K21" s="14"/>
      <c r="L21" s="6"/>
    </row>
    <row r="22" spans="1:12" x14ac:dyDescent="0.2">
      <c r="A22" s="4">
        <v>170.01</v>
      </c>
      <c r="B22" s="4">
        <v>9</v>
      </c>
      <c r="C22" s="4">
        <v>15</v>
      </c>
      <c r="E22" s="4">
        <v>1</v>
      </c>
      <c r="F22" s="4" t="s">
        <v>37</v>
      </c>
      <c r="J22" s="11" t="s">
        <v>38</v>
      </c>
      <c r="K22" s="13">
        <f>IF(K2="","Vnesite Dat.izračuna",K17+K20)</f>
        <v>2000</v>
      </c>
      <c r="L22" s="6" t="s">
        <v>24</v>
      </c>
    </row>
    <row r="23" spans="1:12" x14ac:dyDescent="0.2">
      <c r="A23" s="4">
        <v>190.01</v>
      </c>
      <c r="B23" s="4">
        <v>13</v>
      </c>
      <c r="C23" s="4">
        <v>18</v>
      </c>
      <c r="E23" s="4">
        <v>2</v>
      </c>
      <c r="F23" s="4" t="s">
        <v>39</v>
      </c>
    </row>
    <row r="24" spans="1:12" x14ac:dyDescent="0.2">
      <c r="A24" s="4">
        <v>210.01</v>
      </c>
      <c r="B24" s="4">
        <v>18</v>
      </c>
      <c r="C24" s="4">
        <v>22</v>
      </c>
    </row>
    <row r="25" spans="1:12" x14ac:dyDescent="0.2">
      <c r="A25" s="4">
        <v>230.01</v>
      </c>
      <c r="B25" s="4">
        <v>23</v>
      </c>
      <c r="C25" s="4">
        <v>26</v>
      </c>
      <c r="E25" s="4" t="b">
        <f>K7="DA"</f>
        <v>0</v>
      </c>
      <c r="F25" s="4" t="s">
        <v>40</v>
      </c>
    </row>
    <row r="26" spans="1:12" x14ac:dyDescent="0.2">
      <c r="A26" s="4">
        <v>250.01</v>
      </c>
      <c r="B26" s="4">
        <v>28</v>
      </c>
      <c r="C26" s="4">
        <v>31</v>
      </c>
    </row>
    <row r="27" spans="1:12" x14ac:dyDescent="0.2">
      <c r="E27" s="4" t="b">
        <f>K9="DA"</f>
        <v>0</v>
      </c>
      <c r="F27" s="4" t="s">
        <v>41</v>
      </c>
    </row>
    <row r="29" spans="1:12" x14ac:dyDescent="0.2">
      <c r="A29" s="4" t="s">
        <v>42</v>
      </c>
      <c r="B29" s="4" t="s">
        <v>43</v>
      </c>
      <c r="C29" s="4" t="s">
        <v>44</v>
      </c>
      <c r="E29" s="4">
        <f>SUM(E30:E34)</f>
        <v>0</v>
      </c>
      <c r="F29" s="16" t="s">
        <v>45</v>
      </c>
      <c r="G29" s="19" t="s">
        <v>46</v>
      </c>
      <c r="H29" s="19" t="s">
        <v>47</v>
      </c>
      <c r="I29" s="9"/>
    </row>
    <row r="30" spans="1:12" x14ac:dyDescent="0.2">
      <c r="A30" s="4">
        <v>1</v>
      </c>
      <c r="B30" s="20">
        <v>10</v>
      </c>
      <c r="C30" s="20">
        <v>10</v>
      </c>
      <c r="D30" s="20"/>
      <c r="E30" s="4">
        <f>IF(E2&lt;3,IF(AND(K12&gt;=G30, K12&lt;=H30),F30,0),0)</f>
        <v>0</v>
      </c>
      <c r="F30" s="4">
        <v>0</v>
      </c>
      <c r="G30" s="21">
        <v>0</v>
      </c>
      <c r="H30" s="21">
        <v>2499</v>
      </c>
      <c r="I30" s="10"/>
    </row>
    <row r="31" spans="1:12" x14ac:dyDescent="0.2">
      <c r="A31" s="4">
        <v>2</v>
      </c>
      <c r="B31" s="20">
        <v>10</v>
      </c>
      <c r="C31" s="20">
        <v>5</v>
      </c>
      <c r="D31" s="20"/>
      <c r="E31" s="4">
        <f>IF(E2&lt;3,IF(AND(K12&gt;=G31, K12&lt;=H31),F31,0),0)</f>
        <v>0</v>
      </c>
      <c r="F31" s="4">
        <v>8</v>
      </c>
      <c r="G31" s="21">
        <v>2500</v>
      </c>
      <c r="H31" s="21">
        <v>2999</v>
      </c>
      <c r="I31" s="10"/>
    </row>
    <row r="32" spans="1:12" x14ac:dyDescent="0.2">
      <c r="A32" s="4">
        <v>3</v>
      </c>
      <c r="B32" s="20">
        <v>5</v>
      </c>
      <c r="C32" s="4">
        <v>0</v>
      </c>
      <c r="E32" s="4">
        <f>IF(E2&lt;3,IF(AND(K12&gt;=G32, K12&lt;=H32),F32,0),0)</f>
        <v>0</v>
      </c>
      <c r="F32" s="4">
        <v>10</v>
      </c>
      <c r="G32" s="21">
        <v>3000</v>
      </c>
      <c r="H32" s="21">
        <v>3499</v>
      </c>
      <c r="I32" s="10"/>
    </row>
    <row r="33" spans="1:10" x14ac:dyDescent="0.2">
      <c r="A33" s="4">
        <v>4</v>
      </c>
      <c r="B33" s="20">
        <v>2</v>
      </c>
      <c r="C33" s="4">
        <v>0</v>
      </c>
      <c r="E33" s="4">
        <f>IF(E2&lt;3,IF(AND(K12&gt;=G33, K12&lt;=H33),F33,0),0)</f>
        <v>0</v>
      </c>
      <c r="F33" s="4">
        <v>13</v>
      </c>
      <c r="G33" s="21">
        <v>3500</v>
      </c>
      <c r="H33" s="21">
        <v>3999</v>
      </c>
      <c r="I33" s="10"/>
    </row>
    <row r="34" spans="1:10" x14ac:dyDescent="0.2">
      <c r="A34" s="4">
        <v>5</v>
      </c>
      <c r="B34" s="4">
        <v>0</v>
      </c>
      <c r="C34" s="4">
        <v>0</v>
      </c>
      <c r="E34" s="4">
        <f>IF(E2&lt;3,IF(AND(K12&gt;=G34, K12&lt;=H34),F34,0),0)</f>
        <v>0</v>
      </c>
      <c r="F34" s="4">
        <v>16</v>
      </c>
      <c r="G34" s="21">
        <v>4000</v>
      </c>
      <c r="H34" s="21">
        <v>99999999.900000006</v>
      </c>
      <c r="I34" s="10"/>
    </row>
    <row r="35" spans="1:10" x14ac:dyDescent="0.2">
      <c r="A35" s="4">
        <v>6</v>
      </c>
      <c r="B35" s="4">
        <v>0</v>
      </c>
      <c r="C35" s="4">
        <v>0</v>
      </c>
    </row>
    <row r="36" spans="1:10" x14ac:dyDescent="0.2">
      <c r="E36" s="4">
        <f>SUM(E37:E38)</f>
        <v>0</v>
      </c>
      <c r="F36" s="16" t="s">
        <v>48</v>
      </c>
      <c r="G36" s="19" t="s">
        <v>46</v>
      </c>
      <c r="H36" s="19" t="s">
        <v>47</v>
      </c>
      <c r="I36" s="9"/>
    </row>
    <row r="37" spans="1:10" x14ac:dyDescent="0.2">
      <c r="E37" s="4">
        <f>IF(E2&gt;2,IF(AND(K12&gt;=G37, K12&lt;=H37),F37,0),0)</f>
        <v>0</v>
      </c>
      <c r="F37" s="4">
        <v>0</v>
      </c>
      <c r="G37" s="21">
        <v>0</v>
      </c>
      <c r="H37" s="21">
        <v>999</v>
      </c>
      <c r="I37" s="10"/>
      <c r="J37" s="7"/>
    </row>
    <row r="38" spans="1:10" x14ac:dyDescent="0.2">
      <c r="A38" s="4" t="s">
        <v>49</v>
      </c>
      <c r="C38" s="7">
        <v>40544</v>
      </c>
      <c r="E38" s="4">
        <f>IF(E2&gt;2,IF(AND(K12&gt;=G38, K12&lt;=H38),F38,0),0)</f>
        <v>0</v>
      </c>
      <c r="F38" s="4">
        <v>5</v>
      </c>
      <c r="G38" s="21">
        <v>1000</v>
      </c>
      <c r="H38" s="21">
        <v>99999999.900000006</v>
      </c>
      <c r="I38" s="10"/>
    </row>
    <row r="39" spans="1:10" x14ac:dyDescent="0.2">
      <c r="A39" s="4" t="s">
        <v>26</v>
      </c>
      <c r="B39" s="4" t="s">
        <v>15</v>
      </c>
      <c r="C39" s="4" t="s">
        <v>27</v>
      </c>
      <c r="G39" s="21"/>
      <c r="H39" s="21"/>
      <c r="I39" s="10"/>
    </row>
    <row r="40" spans="1:10" x14ac:dyDescent="0.2">
      <c r="A40" s="4">
        <v>0</v>
      </c>
      <c r="B40" s="4">
        <v>0.5</v>
      </c>
      <c r="C40" s="4">
        <v>1</v>
      </c>
    </row>
    <row r="41" spans="1:10" x14ac:dyDescent="0.2">
      <c r="A41" s="4">
        <v>120.01</v>
      </c>
      <c r="B41" s="4">
        <v>1</v>
      </c>
      <c r="C41" s="4">
        <v>2</v>
      </c>
      <c r="E41" s="22">
        <v>41061</v>
      </c>
      <c r="F41" s="16" t="s">
        <v>50</v>
      </c>
    </row>
    <row r="42" spans="1:10" x14ac:dyDescent="0.2">
      <c r="A42" s="4">
        <v>130.01</v>
      </c>
      <c r="B42" s="4">
        <v>2.5</v>
      </c>
      <c r="C42" s="4">
        <v>4</v>
      </c>
    </row>
    <row r="43" spans="1:10" x14ac:dyDescent="0.2">
      <c r="A43" s="4">
        <v>150.01</v>
      </c>
      <c r="B43" s="4">
        <v>5.5</v>
      </c>
      <c r="C43" s="4">
        <v>9.5</v>
      </c>
    </row>
    <row r="44" spans="1:10" x14ac:dyDescent="0.2">
      <c r="A44" s="4">
        <v>170.01</v>
      </c>
      <c r="B44" s="4">
        <v>8</v>
      </c>
      <c r="C44" s="4">
        <v>12.5</v>
      </c>
    </row>
    <row r="45" spans="1:10" x14ac:dyDescent="0.2">
      <c r="A45" s="4">
        <v>190.01</v>
      </c>
      <c r="B45" s="4">
        <v>10.5</v>
      </c>
      <c r="C45" s="4">
        <v>14.5</v>
      </c>
    </row>
    <row r="46" spans="1:10" x14ac:dyDescent="0.2">
      <c r="A46" s="4">
        <v>210.01</v>
      </c>
      <c r="B46" s="4">
        <v>18</v>
      </c>
      <c r="C46" s="4">
        <v>22</v>
      </c>
    </row>
    <row r="47" spans="1:10" x14ac:dyDescent="0.2">
      <c r="A47" s="4">
        <v>230.01</v>
      </c>
      <c r="B47" s="4">
        <v>23</v>
      </c>
      <c r="C47" s="4">
        <v>26</v>
      </c>
    </row>
    <row r="48" spans="1:10" x14ac:dyDescent="0.2">
      <c r="A48" s="4">
        <v>205.01</v>
      </c>
      <c r="B48" s="4">
        <v>28</v>
      </c>
      <c r="C48" s="4">
        <v>31</v>
      </c>
    </row>
    <row r="51" spans="1:3" x14ac:dyDescent="0.2">
      <c r="B51" s="20"/>
      <c r="C51" s="20"/>
    </row>
    <row r="52" spans="1:3" x14ac:dyDescent="0.2">
      <c r="A52" s="4" t="s">
        <v>51</v>
      </c>
      <c r="B52" s="20"/>
      <c r="C52" s="20"/>
    </row>
    <row r="53" spans="1:3" x14ac:dyDescent="0.2">
      <c r="A53" s="4">
        <f>IF(ISBLANK(K5), 999, IF(E8=1,0,K5))</f>
        <v>200</v>
      </c>
      <c r="B53" s="4" t="s">
        <v>52</v>
      </c>
    </row>
    <row r="54" spans="1:3" x14ac:dyDescent="0.2">
      <c r="A54" s="4" t="b">
        <f>OR(E8&lt;&gt;2,AND(E13=6,E8=2),AND(E13=5,E8=2,K2&lt;DATE(2012,1,1)))</f>
        <v>0</v>
      </c>
      <c r="B54" s="4" t="s">
        <v>53</v>
      </c>
    </row>
    <row r="55" spans="1:3" x14ac:dyDescent="0.2">
      <c r="A55" s="4">
        <f>VLOOKUP(A53,IF(K2&lt;C38,A40:C48,A17:C26),IF(A54,2,3),TRUE)</f>
        <v>18</v>
      </c>
      <c r="B55" s="4" t="s">
        <v>54</v>
      </c>
    </row>
    <row r="56" spans="1:3" x14ac:dyDescent="0.2">
      <c r="A56" s="4">
        <f>IF(E25, A55*0.7, A55)</f>
        <v>18</v>
      </c>
      <c r="B56" s="4" t="s">
        <v>55</v>
      </c>
    </row>
    <row r="57" spans="1:3" x14ac:dyDescent="0.2">
      <c r="A57" s="4">
        <f>A56+IF(E8=1,0,VLOOKUP(E13,A30:C35,2,0)-IF(AND(E13=4,K2&lt;C38),1,0))</f>
        <v>20</v>
      </c>
      <c r="B57" s="4" t="s">
        <v>56</v>
      </c>
    </row>
    <row r="58" spans="1:3" x14ac:dyDescent="0.2">
      <c r="A58" s="4">
        <f>A57+IF(AND(E8=2,E27,K2&lt;C38),2,IF(AND(E8=2,E27), 5, 0))</f>
        <v>20</v>
      </c>
      <c r="B58" s="4" t="s">
        <v>57</v>
      </c>
    </row>
    <row r="61" spans="1:3" x14ac:dyDescent="0.2">
      <c r="A61" s="4" t="s">
        <v>58</v>
      </c>
    </row>
    <row r="62" spans="1:3" x14ac:dyDescent="0.2">
      <c r="A62" s="4">
        <f>IF(E8=1,0.5,VLOOKUP(K11,A10:B13,2,TRUE))</f>
        <v>18</v>
      </c>
      <c r="B62" s="4" t="s">
        <v>59</v>
      </c>
    </row>
    <row r="63" spans="1:3" x14ac:dyDescent="0.2">
      <c r="A63" s="4">
        <f>A62+IF(E8=1,0,VLOOKUP(E13,A30:C35,2,0)-IF(AND(E13=4,K2&lt;C38),1,0))</f>
        <v>20</v>
      </c>
      <c r="B63" s="4" t="s">
        <v>56</v>
      </c>
    </row>
    <row r="64" spans="1:3" x14ac:dyDescent="0.2">
      <c r="A64" s="4">
        <f>A63+IF(AND(E8=2,E27,K2&lt;C38),2,IF(AND(E8=2,E27), 5, 0))</f>
        <v>20</v>
      </c>
      <c r="B64" s="4" t="s">
        <v>57</v>
      </c>
    </row>
    <row r="67" spans="1:4" x14ac:dyDescent="0.2">
      <c r="A67" s="4" t="s">
        <v>60</v>
      </c>
    </row>
    <row r="68" spans="1:4" x14ac:dyDescent="0.2">
      <c r="A68" s="4">
        <f>IF(E8=1,0.5,VLOOKUP(K11,A3:B6,2,TRUE))</f>
        <v>5</v>
      </c>
      <c r="B68" s="4" t="s">
        <v>59</v>
      </c>
    </row>
    <row r="69" spans="1:4" x14ac:dyDescent="0.2">
      <c r="A69" s="4">
        <f>A68+IF(E8=1,0,IF(E21=1,3,0))</f>
        <v>8</v>
      </c>
      <c r="B69" s="4" t="s">
        <v>61</v>
      </c>
    </row>
    <row r="70" spans="1:4" x14ac:dyDescent="0.2">
      <c r="A70" s="4">
        <f>A69+IF(E8=1,0,IF(AND(E2=3,E13=2),0,VLOOKUP(E13,A30:C35,3,0)))</f>
        <v>8</v>
      </c>
      <c r="B70" s="4" t="s">
        <v>56</v>
      </c>
    </row>
    <row r="72" spans="1:4" x14ac:dyDescent="0.2">
      <c r="A72" s="4" t="s">
        <v>62</v>
      </c>
      <c r="B72" s="19" t="s">
        <v>46</v>
      </c>
      <c r="C72" s="19" t="s">
        <v>47</v>
      </c>
      <c r="D72" s="4" t="s">
        <v>63</v>
      </c>
    </row>
    <row r="73" spans="1:4" x14ac:dyDescent="0.2">
      <c r="A73" s="4">
        <v>0</v>
      </c>
      <c r="B73" s="21">
        <v>0</v>
      </c>
      <c r="C73" s="21">
        <v>2499</v>
      </c>
      <c r="D73" s="20"/>
    </row>
    <row r="74" spans="1:4" x14ac:dyDescent="0.2">
      <c r="A74" s="4">
        <v>8</v>
      </c>
      <c r="B74" s="21">
        <v>2500</v>
      </c>
      <c r="C74" s="21">
        <v>2999</v>
      </c>
      <c r="D74" s="20"/>
    </row>
    <row r="75" spans="1:4" x14ac:dyDescent="0.2">
      <c r="A75" s="4">
        <v>10</v>
      </c>
      <c r="B75" s="21">
        <v>3000</v>
      </c>
      <c r="C75" s="21">
        <v>3499</v>
      </c>
    </row>
    <row r="76" spans="1:4" x14ac:dyDescent="0.2">
      <c r="A76" s="4">
        <v>13</v>
      </c>
      <c r="B76" s="21">
        <v>3500</v>
      </c>
      <c r="C76" s="21">
        <v>3999</v>
      </c>
    </row>
    <row r="77" spans="1:4" x14ac:dyDescent="0.2">
      <c r="A77" s="4">
        <v>16</v>
      </c>
      <c r="B77" s="21">
        <v>4000</v>
      </c>
      <c r="C77" s="21"/>
    </row>
    <row r="79" spans="1:4" x14ac:dyDescent="0.2">
      <c r="A79" s="16" t="s">
        <v>48</v>
      </c>
      <c r="B79" s="19" t="s">
        <v>46</v>
      </c>
      <c r="C79" s="19" t="s">
        <v>47</v>
      </c>
    </row>
    <row r="80" spans="1:4" x14ac:dyDescent="0.2">
      <c r="A80" s="4">
        <v>0</v>
      </c>
      <c r="B80" s="21">
        <v>0</v>
      </c>
      <c r="C80" s="21">
        <v>999</v>
      </c>
    </row>
    <row r="81" spans="1:3" x14ac:dyDescent="0.2">
      <c r="A81" s="4">
        <v>5</v>
      </c>
      <c r="B81" s="21">
        <v>1000</v>
      </c>
      <c r="C81" s="21"/>
    </row>
    <row r="82" spans="1:3" x14ac:dyDescent="0.2">
      <c r="B82" s="21"/>
      <c r="C82" s="21"/>
    </row>
    <row r="83" spans="1:3" x14ac:dyDescent="0.2">
      <c r="B83" s="21"/>
      <c r="C83" s="21"/>
    </row>
    <row r="84" spans="1:3" x14ac:dyDescent="0.2">
      <c r="B84" s="21"/>
      <c r="C84" s="21"/>
    </row>
  </sheetData>
  <sheetProtection algorithmName="SHA-512" hashValue="hQvP+k+PEf2/TbLYQiK3pHQmfv1jMmvaxMDjW6Or+JrE7OPuFSbAEMiWteici2Iw2DOjQSDltrXZt55zX1varQ==" saltValue="wydi0MNrdemjMaPOz5QmFQ==" spinCount="100000" sheet="1" selectLockedCells="1"/>
  <dataConsolidate/>
  <phoneticPr fontId="1" type="noConversion"/>
  <dataValidations count="7">
    <dataValidation type="decimal" operator="greaterThanOrEqual" allowBlank="1" showInputMessage="1" showErrorMessage="1" errorTitle="Napaka" error="Vpišite decimalno število večje ali enako 0!" sqref="K5 K11:K12 K14" xr:uid="{4AAB6360-B0FB-4C66-AFF7-78A367AD296C}">
      <formula1>0</formula1>
    </dataValidation>
    <dataValidation type="list" allowBlank="1" showInputMessage="1" showErrorMessage="1" errorTitle="Napaka" error="Izberite vrednost iz spustnega seznama!" prompt="Za Motorna kolesa in Kolesa z motorjem" sqref="K13" xr:uid="{E1380416-37D0-40BE-9184-F517F40F64BA}">
      <formula1>$F$22:$F$23</formula1>
    </dataValidation>
    <dataValidation type="list" showInputMessage="1" showErrorMessage="1" errorTitle="Napaka" error="Izberite vrednost iz spustnega seznama!" sqref="K3" xr:uid="{B30814F4-B992-4BCE-AD9A-C0B154A4DE3A}">
      <formula1>$F$3:$F$6</formula1>
    </dataValidation>
    <dataValidation type="list" showInputMessage="1" showErrorMessage="1" errorTitle="Napaka" error="Izberite vrednost iz spustnega seznama!" sqref="K4" xr:uid="{A4F7E07E-86E0-432F-8CF3-922E03A36274}">
      <formula1>$F$9:$F$11</formula1>
    </dataValidation>
    <dataValidation type="list" showInputMessage="1" showErrorMessage="1" errorTitle="Napaka" error="Izberite vrednost iz spustnega seznama!" sqref="K6" xr:uid="{086D4556-6CE0-4F0A-BF9D-2B43DDD773A2}">
      <formula1>$F$14:$F$19</formula1>
    </dataValidation>
    <dataValidation type="date" allowBlank="1" showInputMessage="1" showErrorMessage="1" errorTitle="Napaka" error="Vpišite datum večji ali enak 1.3.2010!" prompt="Vpišite datum večji ali enak 1.3.2010" sqref="K2" xr:uid="{85BE2168-5A37-494B-B2C7-98BE8C771EDA}">
      <formula1>40238</formula1>
      <formula2>2958465</formula2>
    </dataValidation>
    <dataValidation type="list" showInputMessage="1" showErrorMessage="1" errorTitle="Napaka" error="Izberite vrednost iz spustnega seznama!" sqref="K7 K9" xr:uid="{4D043D3D-BC47-4901-8FBF-CA2AAB16CE27}">
      <formula1>$H$16:$H$17</formula1>
    </dataValidation>
  </dataValidations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DMV</vt:lpstr>
    </vt:vector>
  </TitlesOfParts>
  <Manager/>
  <Company>Hermes Softlab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Izračun DMV</dc:title>
  <dc:subject/>
  <dc:creator>Mojca Črnigoj</dc:creator>
  <cp:keywords/>
  <dc:description/>
  <cp:lastModifiedBy>Erik Mihalj</cp:lastModifiedBy>
  <cp:revision/>
  <dcterms:created xsi:type="dcterms:W3CDTF">2010-06-08T13:28:01Z</dcterms:created>
  <dcterms:modified xsi:type="dcterms:W3CDTF">2025-02-10T09:05:26Z</dcterms:modified>
  <cp:category/>
  <cp:contentStatus/>
</cp:coreProperties>
</file>